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ikas\Downloads\"/>
    </mc:Choice>
  </mc:AlternateContent>
  <xr:revisionPtr revIDLastSave="0" documentId="13_ncr:1_{65F9A3CA-CE26-4AEF-B2D1-D24EA016B410}" xr6:coauthVersionLast="47" xr6:coauthVersionMax="47" xr10:uidLastSave="{00000000-0000-0000-0000-000000000000}"/>
  <bookViews>
    <workbookView xWindow="-110" yWindow="-110" windowWidth="19420" windowHeight="11500" xr2:uid="{1CA63FAD-A6B4-4B88-8370-91E3CD9D8442}"/>
  </bookViews>
  <sheets>
    <sheet name="Sheet1" sheetId="1" r:id="rId1"/>
  </sheets>
  <definedNames>
    <definedName name="DiscRate">Sheet1!$D$46</definedName>
    <definedName name="Ke">Sheet1!$D$35</definedName>
    <definedName name="Taxrate">Sheet1!$D$41</definedName>
    <definedName name="WACC">Sheet1!$D$44</definedName>
  </definedNames>
  <calcPr calcId="191029" iterate="1" iterateDelta="9.9999999999994494E-4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D13" i="1"/>
  <c r="D15" i="1"/>
  <c r="D16" i="1"/>
  <c r="D17" i="1"/>
  <c r="D53" i="1"/>
  <c r="D54" i="1"/>
  <c r="D55" i="1"/>
  <c r="D19" i="1"/>
  <c r="D56" i="1"/>
  <c r="D22" i="1"/>
  <c r="C22" i="1"/>
  <c r="D57" i="1"/>
  <c r="D58" i="1"/>
  <c r="E58" i="1"/>
  <c r="D35" i="1"/>
  <c r="D38" i="1"/>
  <c r="D40" i="1"/>
  <c r="D42" i="1"/>
  <c r="D43" i="1"/>
  <c r="D44" i="1"/>
  <c r="D46" i="1"/>
  <c r="D50" i="1"/>
  <c r="E50" i="1"/>
  <c r="E51" i="1"/>
  <c r="E60" i="1"/>
  <c r="F58" i="1"/>
  <c r="F51" i="1"/>
  <c r="F60" i="1"/>
  <c r="G58" i="1"/>
  <c r="G51" i="1"/>
  <c r="G60" i="1"/>
  <c r="H58" i="1"/>
  <c r="H51" i="1"/>
  <c r="H60" i="1"/>
  <c r="I58" i="1"/>
  <c r="I51" i="1"/>
  <c r="I60" i="1"/>
  <c r="J58" i="1"/>
  <c r="J51" i="1"/>
  <c r="J60" i="1"/>
  <c r="K58" i="1"/>
  <c r="K59" i="1"/>
  <c r="K51" i="1"/>
  <c r="K60" i="1"/>
  <c r="D61" i="1"/>
  <c r="D62" i="1"/>
  <c r="D63" i="1"/>
  <c r="D64" i="1"/>
  <c r="D65" i="1"/>
  <c r="D27" i="1"/>
  <c r="D66" i="1"/>
  <c r="D67" i="1"/>
  <c r="C11" i="1"/>
  <c r="C13" i="1"/>
  <c r="C15" i="1"/>
  <c r="C16" i="1"/>
  <c r="D21" i="1"/>
  <c r="D24" i="1"/>
  <c r="D26" i="1"/>
  <c r="C24" i="1"/>
  <c r="C21" i="1"/>
  <c r="C26" i="1"/>
  <c r="D72" i="1"/>
  <c r="C50" i="1"/>
  <c r="F50" i="1"/>
  <c r="G50" i="1"/>
  <c r="H50" i="1"/>
  <c r="I50" i="1"/>
  <c r="J50" i="1"/>
  <c r="D71" i="1"/>
  <c r="D70" i="1"/>
  <c r="D69" i="1"/>
  <c r="C17" i="1"/>
  <c r="D32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<sst xmlns="http://schemas.openxmlformats.org/spreadsheetml/2006/main" count="64" uniqueCount="61">
  <si>
    <t>Number of Shares</t>
  </si>
  <si>
    <t>Risk Free Rate</t>
  </si>
  <si>
    <t>Market Return</t>
  </si>
  <si>
    <t>Risk Premium</t>
  </si>
  <si>
    <t xml:space="preserve">Beta </t>
  </si>
  <si>
    <t>Additional Risk Premium</t>
  </si>
  <si>
    <t>Cost of Equity</t>
  </si>
  <si>
    <t>Proportion of Equity</t>
  </si>
  <si>
    <t>Target</t>
  </si>
  <si>
    <t>Pre Tax Cost of Debt</t>
  </si>
  <si>
    <t>Tax Rate</t>
  </si>
  <si>
    <t>Post Tax Cost of Debt</t>
  </si>
  <si>
    <t>Proportion of Debt</t>
  </si>
  <si>
    <t>WACC [Discount Rate]</t>
  </si>
  <si>
    <t>Adjustment</t>
  </si>
  <si>
    <t>Discount Rate</t>
  </si>
  <si>
    <t>Terminal</t>
  </si>
  <si>
    <t>Valuation as DCF (FCFF)</t>
  </si>
  <si>
    <t>Free Cash Flow to Firm</t>
  </si>
  <si>
    <t>Terminal Value</t>
  </si>
  <si>
    <t>PV of Cash Flows</t>
  </si>
  <si>
    <t xml:space="preserve">Enterprise Value </t>
  </si>
  <si>
    <t>Equity Value</t>
  </si>
  <si>
    <t>Value per Share</t>
  </si>
  <si>
    <t>Book Value per share</t>
  </si>
  <si>
    <t>Implied P/BV ratio</t>
  </si>
  <si>
    <t>Implied P/S Multiple</t>
  </si>
  <si>
    <t>Implied P/E Multiple</t>
  </si>
  <si>
    <t>Credit Spread</t>
  </si>
  <si>
    <t>Net Profit After Tax</t>
  </si>
  <si>
    <t>Assessment of Discount Rate</t>
  </si>
  <si>
    <t>Property, Plant &amp; Equipment (Incl intangibles)</t>
  </si>
  <si>
    <t>Total Non Current Assets</t>
  </si>
  <si>
    <t>Net Current Assets</t>
  </si>
  <si>
    <t>Shareholders' Funds</t>
  </si>
  <si>
    <t>Number of shares (diluted)</t>
  </si>
  <si>
    <t>Revenue</t>
  </si>
  <si>
    <t>(-) Operating Expense</t>
  </si>
  <si>
    <t>EBITDA</t>
  </si>
  <si>
    <t>(-) Depreciation &amp; Amortisation</t>
  </si>
  <si>
    <t>EBIT</t>
  </si>
  <si>
    <t>(-) Interest</t>
  </si>
  <si>
    <t>EBT</t>
  </si>
  <si>
    <t>(-) Taxes</t>
  </si>
  <si>
    <t>PAT</t>
  </si>
  <si>
    <t>Year Count (mid year convention)</t>
  </si>
  <si>
    <t>Company Name</t>
  </si>
  <si>
    <t>(+) Net Non Cash Charges (E.g. Depreciation)</t>
  </si>
  <si>
    <t>(+) Interest Expense x (1 - Tax Rate)</t>
  </si>
  <si>
    <t>(-) Capital Expenditure</t>
  </si>
  <si>
    <t>(-) Investment in Non Cash Working Capital</t>
  </si>
  <si>
    <t>(-) Debt on Valuation Date [Long term + Short Term]</t>
  </si>
  <si>
    <t>(+) Cash on Valuation Date</t>
  </si>
  <si>
    <t>(+) Value of Non Operating Assets</t>
  </si>
  <si>
    <t>FCF Growth Rate - Explicit Period</t>
  </si>
  <si>
    <t>(-) Total Debt</t>
  </si>
  <si>
    <t>(+) Non Operating Assets</t>
  </si>
  <si>
    <t>(+) Cash &amp; Cash Equivalents</t>
  </si>
  <si>
    <t>Working Capital (Excl Cash)</t>
  </si>
  <si>
    <t>www.omnifin.in | Valuation Tools</t>
  </si>
  <si>
    <t>FCF Growth Rate - Terminal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</si>
</sst>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(* #,##0.00_);_(* \(#,##0.00\);_(* &quot;-&quot;??_);_(@_)"/>
    <numFmt numFmtId="165" formatCode="[$-409]d/mmm/yy;@"/>
    <numFmt numFmtId="166" formatCode="_(* #,##0_);_(* \(#,##0\);_(* &quot;-&quot;??_);_(@_)"/>
    <numFmt numFmtId="167" formatCode="0.0%"/>
    <numFmt numFmtId="168" formatCode="_(* #,##0.0_);_(* \(#,##0.0\);_(* &quot;-&quot;??_);_(@_)"/>
    <numFmt numFmtId="169" formatCode="0.0\x"/>
  </numFmts>
  <fonts count="15" x14ac:knownFonts="1">
    <font>
      <sz val="9"/>
      <color theme="1"/>
      <name val="Univers"/>
      <family val="2"/>
    </font>
    <font>
      <sz val="9"/>
      <color theme="1"/>
      <name val="Univers"/>
      <family val="2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9"/>
      <color theme="1"/>
      <name val="Tenorite"/>
    </font>
    <font>
      <b/>
      <sz val="10"/>
      <color theme="1"/>
      <name val="Tenorite"/>
    </font>
    <font>
      <b/>
      <sz val="9"/>
      <color theme="1"/>
      <name val="Tenorite"/>
    </font>
    <font>
      <b/>
      <sz val="9"/>
      <color rgb="FF000000"/>
      <name val="Tenorite"/>
    </font>
    <font>
      <sz val="9"/>
      <name val="Tenorite"/>
    </font>
    <font>
      <sz val="9"/>
      <color theme="1" tint="0.499984740745262"/>
      <name val="Tenorite"/>
    </font>
    <font>
      <i/>
      <sz val="9"/>
      <color theme="1" tint="0.499984740745262"/>
      <name val="Tenorite"/>
    </font>
    <font>
      <i/>
      <sz val="9"/>
      <name val="Tenorite"/>
    </font>
    <font>
      <b/>
      <sz val="9"/>
      <name val="Tenorite"/>
    </font>
    <font>
      <b/>
      <sz val="9"/>
      <color rgb="FFFF0000"/>
      <name val="Tenorite"/>
    </font>
    <font>
      <sz val="9"/>
      <color theme="0" tint="-0.14999847407452621"/>
      <name val="Tenorite"/>
    </font>
  </fonts>
  <fills count="6">
    <fill>
      <patternFill patternType="none"/>
    </fill>
    <fill>
      <patternFill patternType="gray125"/>
    </fill>
    <fill>
      <patternFill patternType="solid">
        <fgColor rgb="FFFEF8E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AE6"/>
        <bgColor indexed="64"/>
      </patternFill>
    </fill>
    <fill>
      <patternFill patternType="solid">
        <fgColor theme="3" tint="0.89999084444715716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43" fontId="4" fillId="0" borderId="0" xfId="1" applyFont="1" applyAlignment="1" applyProtection="1">
      <alignment vertical="center"/>
    </xf>
    <xf numFmtId="0" fontId="4" fillId="0" borderId="0" xfId="3" applyFont="1" applyAlignment="1">
      <alignment vertical="center"/>
    </xf>
    <xf numFmtId="166" fontId="4" fillId="0" borderId="0" xfId="1" applyNumberFormat="1" applyFont="1" applyAlignment="1" applyProtection="1">
      <alignment vertical="center"/>
    </xf>
    <xf numFmtId="10" fontId="4" fillId="0" borderId="0" xfId="2" applyNumberFormat="1" applyFont="1" applyAlignment="1" applyProtection="1">
      <alignment vertical="center"/>
    </xf>
    <xf numFmtId="0" fontId="6" fillId="5" borderId="0" xfId="3" applyFont="1" applyFill="1" applyAlignment="1">
      <alignment vertical="center"/>
    </xf>
    <xf numFmtId="165" fontId="7" fillId="5" borderId="0" xfId="0" applyNumberFormat="1" applyFont="1" applyFill="1" applyAlignment="1">
      <alignment horizontal="center" vertical="center"/>
    </xf>
    <xf numFmtId="166" fontId="4" fillId="3" borderId="0" xfId="1" applyNumberFormat="1" applyFont="1" applyFill="1" applyAlignment="1" applyProtection="1">
      <alignment vertical="center"/>
    </xf>
    <xf numFmtId="167" fontId="4" fillId="0" borderId="0" xfId="2" applyNumberFormat="1" applyFont="1" applyAlignment="1" applyProtection="1">
      <alignment vertical="center"/>
    </xf>
    <xf numFmtId="166" fontId="4" fillId="3" borderId="3" xfId="1" applyNumberFormat="1" applyFont="1" applyFill="1" applyBorder="1" applyAlignment="1" applyProtection="1">
      <alignment vertical="center"/>
    </xf>
    <xf numFmtId="166" fontId="4" fillId="4" borderId="0" xfId="1" applyNumberFormat="1" applyFont="1" applyFill="1" applyAlignment="1" applyProtection="1">
      <alignment vertical="center"/>
    </xf>
    <xf numFmtId="166" fontId="4" fillId="4" borderId="2" xfId="1" applyNumberFormat="1" applyFont="1" applyFill="1" applyBorder="1" applyAlignment="1" applyProtection="1">
      <alignment vertical="center"/>
    </xf>
    <xf numFmtId="166" fontId="4" fillId="0" borderId="0" xfId="1" applyNumberFormat="1" applyFont="1" applyFill="1" applyAlignment="1" applyProtection="1">
      <alignment vertical="center"/>
    </xf>
    <xf numFmtId="0" fontId="6" fillId="0" borderId="0" xfId="3" applyFont="1" applyAlignment="1">
      <alignment vertical="center"/>
    </xf>
    <xf numFmtId="166" fontId="4" fillId="4" borderId="3" xfId="1" applyNumberFormat="1" applyFont="1" applyFill="1" applyBorder="1" applyAlignment="1" applyProtection="1">
      <alignment vertical="center"/>
    </xf>
    <xf numFmtId="166" fontId="4" fillId="3" borderId="0" xfId="1" applyNumberFormat="1" applyFont="1" applyFill="1" applyBorder="1" applyAlignment="1" applyProtection="1">
      <alignment vertical="center"/>
    </xf>
    <xf numFmtId="166" fontId="4" fillId="5" borderId="0" xfId="1" applyNumberFormat="1" applyFont="1" applyFill="1" applyAlignment="1" applyProtection="1">
      <alignment vertical="center"/>
    </xf>
    <xf numFmtId="0" fontId="4" fillId="5" borderId="0" xfId="3" applyFont="1" applyFill="1" applyAlignment="1">
      <alignment vertical="center"/>
    </xf>
    <xf numFmtId="10" fontId="4" fillId="3" borderId="0" xfId="2" applyNumberFormat="1" applyFont="1" applyFill="1" applyBorder="1" applyAlignment="1" applyProtection="1">
      <alignment vertical="center"/>
    </xf>
    <xf numFmtId="10" fontId="4" fillId="0" borderId="0" xfId="2" applyNumberFormat="1" applyFont="1" applyFill="1" applyAlignment="1" applyProtection="1">
      <alignment vertical="center"/>
    </xf>
    <xf numFmtId="10" fontId="4" fillId="4" borderId="0" xfId="2" applyNumberFormat="1" applyFont="1" applyFill="1" applyBorder="1" applyAlignment="1" applyProtection="1">
      <alignment vertical="center"/>
    </xf>
    <xf numFmtId="43" fontId="4" fillId="3" borderId="0" xfId="1" applyFont="1" applyFill="1" applyBorder="1" applyAlignment="1" applyProtection="1">
      <alignment vertical="center"/>
    </xf>
    <xf numFmtId="10" fontId="4" fillId="4" borderId="0" xfId="2" applyNumberFormat="1" applyFont="1" applyFill="1" applyAlignment="1" applyProtection="1">
      <alignment vertical="center"/>
    </xf>
    <xf numFmtId="10" fontId="4" fillId="3" borderId="0" xfId="2" applyNumberFormat="1" applyFont="1" applyFill="1" applyAlignment="1" applyProtection="1">
      <alignment vertical="center"/>
    </xf>
    <xf numFmtId="10" fontId="8" fillId="4" borderId="0" xfId="2" applyNumberFormat="1" applyFont="1" applyFill="1" applyBorder="1" applyAlignment="1" applyProtection="1">
      <alignment vertical="center"/>
    </xf>
    <xf numFmtId="10" fontId="4" fillId="2" borderId="0" xfId="2" applyNumberFormat="1" applyFont="1" applyFill="1" applyBorder="1" applyAlignment="1" applyProtection="1">
      <alignment vertical="center"/>
    </xf>
    <xf numFmtId="0" fontId="6" fillId="0" borderId="0" xfId="0" applyFont="1" applyAlignment="1">
      <alignment vertical="center"/>
    </xf>
    <xf numFmtId="168" fontId="4" fillId="2" borderId="0" xfId="1" applyNumberFormat="1" applyFont="1" applyFill="1" applyBorder="1" applyAlignment="1" applyProtection="1">
      <alignment vertical="center"/>
    </xf>
    <xf numFmtId="168" fontId="4" fillId="2" borderId="0" xfId="1" applyNumberFormat="1" applyFont="1" applyFill="1" applyAlignment="1" applyProtection="1">
      <alignment vertical="center"/>
    </xf>
    <xf numFmtId="43" fontId="4" fillId="4" borderId="0" xfId="1" applyFont="1" applyFill="1" applyBorder="1" applyAlignment="1" applyProtection="1">
      <alignment vertical="center"/>
    </xf>
    <xf numFmtId="43" fontId="14" fillId="0" borderId="0" xfId="1" applyFont="1" applyFill="1" applyBorder="1" applyAlignment="1" applyProtection="1">
      <alignment vertical="center"/>
    </xf>
    <xf numFmtId="43" fontId="14" fillId="0" borderId="0" xfId="1" applyFont="1" applyFill="1" applyAlignment="1" applyProtection="1">
      <alignment vertical="center"/>
    </xf>
    <xf numFmtId="43" fontId="14" fillId="0" borderId="3" xfId="1" applyFont="1" applyFill="1" applyBorder="1" applyAlignment="1" applyProtection="1">
      <alignment vertical="center"/>
    </xf>
    <xf numFmtId="43" fontId="4" fillId="2" borderId="1" xfId="1" applyFont="1" applyFill="1" applyBorder="1" applyAlignment="1" applyProtection="1">
      <alignment vertical="center"/>
    </xf>
    <xf numFmtId="43" fontId="4" fillId="0" borderId="0" xfId="1" applyFont="1" applyFill="1" applyBorder="1" applyAlignment="1" applyProtection="1">
      <alignment vertical="center"/>
    </xf>
    <xf numFmtId="43" fontId="4" fillId="2" borderId="0" xfId="1" applyFont="1" applyFill="1" applyAlignment="1" applyProtection="1">
      <alignment vertical="center"/>
    </xf>
    <xf numFmtId="43" fontId="4" fillId="0" borderId="1" xfId="1" applyFont="1" applyFill="1" applyBorder="1" applyAlignment="1" applyProtection="1">
      <alignment vertical="center"/>
    </xf>
    <xf numFmtId="43" fontId="4" fillId="2" borderId="0" xfId="1" applyFont="1" applyFill="1" applyBorder="1" applyAlignment="1" applyProtection="1">
      <alignment vertical="center"/>
    </xf>
    <xf numFmtId="164" fontId="4" fillId="0" borderId="0" xfId="3" applyNumberFormat="1" applyFont="1" applyAlignment="1">
      <alignment vertical="center"/>
    </xf>
    <xf numFmtId="43" fontId="4" fillId="0" borderId="0" xfId="1" applyFont="1" applyFill="1" applyAlignment="1" applyProtection="1">
      <alignment vertical="center"/>
    </xf>
    <xf numFmtId="43" fontId="6" fillId="2" borderId="2" xfId="1" applyFont="1" applyFill="1" applyBorder="1" applyAlignment="1" applyProtection="1">
      <alignment vertical="center"/>
    </xf>
    <xf numFmtId="43" fontId="9" fillId="0" borderId="0" xfId="1" applyFont="1" applyFill="1" applyBorder="1" applyAlignment="1" applyProtection="1">
      <alignment vertical="center"/>
    </xf>
    <xf numFmtId="0" fontId="6" fillId="0" borderId="0" xfId="0" applyFont="1" applyAlignment="1">
      <alignment horizontal="left" vertical="center"/>
    </xf>
    <xf numFmtId="43" fontId="6" fillId="0" borderId="0" xfId="1" applyFont="1" applyFill="1" applyAlignment="1" applyProtection="1">
      <alignment vertical="center"/>
    </xf>
    <xf numFmtId="43" fontId="6" fillId="4" borderId="1" xfId="1" applyFont="1" applyFill="1" applyBorder="1" applyAlignment="1" applyProtection="1">
      <alignment vertical="center"/>
    </xf>
    <xf numFmtId="43" fontId="10" fillId="0" borderId="0" xfId="1" applyFont="1" applyFill="1" applyBorder="1" applyAlignment="1" applyProtection="1">
      <alignment vertical="center"/>
    </xf>
    <xf numFmtId="164" fontId="4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43" fontId="8" fillId="0" borderId="0" xfId="1" applyFont="1" applyFill="1" applyAlignment="1" applyProtection="1">
      <alignment vertical="center"/>
    </xf>
    <xf numFmtId="43" fontId="8" fillId="0" borderId="0" xfId="1" applyFont="1" applyFill="1" applyBorder="1" applyAlignment="1" applyProtection="1">
      <alignment vertical="center"/>
    </xf>
    <xf numFmtId="43" fontId="11" fillId="0" borderId="0" xfId="1" applyFont="1" applyFill="1" applyBorder="1" applyAlignment="1" applyProtection="1">
      <alignment vertical="center"/>
    </xf>
    <xf numFmtId="164" fontId="8" fillId="0" borderId="0" xfId="0" applyNumberFormat="1" applyFont="1" applyAlignment="1">
      <alignment vertical="center"/>
    </xf>
    <xf numFmtId="0" fontId="12" fillId="0" borderId="4" xfId="0" applyFont="1" applyBorder="1" applyAlignment="1">
      <alignment vertical="center"/>
    </xf>
    <xf numFmtId="43" fontId="8" fillId="0" borderId="1" xfId="1" applyFont="1" applyFill="1" applyBorder="1" applyAlignment="1" applyProtection="1">
      <alignment vertical="center"/>
    </xf>
    <xf numFmtId="164" fontId="8" fillId="4" borderId="5" xfId="0" applyNumberFormat="1" applyFont="1" applyFill="1" applyBorder="1" applyAlignment="1">
      <alignment vertical="center"/>
    </xf>
    <xf numFmtId="0" fontId="12" fillId="0" borderId="6" xfId="0" applyFont="1" applyBorder="1" applyAlignment="1">
      <alignment vertical="center"/>
    </xf>
    <xf numFmtId="169" fontId="8" fillId="4" borderId="7" xfId="0" applyNumberFormat="1" applyFont="1" applyFill="1" applyBorder="1" applyAlignment="1">
      <alignment vertical="center"/>
    </xf>
    <xf numFmtId="0" fontId="12" fillId="0" borderId="8" xfId="0" applyFont="1" applyBorder="1" applyAlignment="1">
      <alignment vertical="center"/>
    </xf>
    <xf numFmtId="43" fontId="8" fillId="0" borderId="3" xfId="1" applyFont="1" applyFill="1" applyBorder="1" applyAlignment="1" applyProtection="1">
      <alignment vertical="center"/>
    </xf>
    <xf numFmtId="169" fontId="8" fillId="4" borderId="9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167" fontId="4" fillId="3" borderId="0" xfId="2" applyNumberFormat="1" applyFont="1" applyFill="1" applyAlignment="1" applyProtection="1">
      <alignment vertical="center"/>
    </xf>
  </cellXfs>
  <cellStyles count="7">
    <cellStyle name="Comma" xfId="1" builtinId="3"/>
    <cellStyle name="Normal" xfId="0" builtinId="0"/>
    <cellStyle name="Normal 12" xfId="3" xr:uid="{ACAABE20-DCEC-4592-8D1D-D4450AC992A0}"/>
    <cellStyle name="Normal 2" xfId="5" xr:uid="{A2F339E2-9335-43F6-9092-38DB2CAB09F8}"/>
    <cellStyle name="Normal 2 4" xfId="6" xr:uid="{674B857B-122C-49B1-97E0-07424307EB74}"/>
    <cellStyle name="Normal 3" xfId="4" xr:uid="{58702871-32F0-459F-A140-2E7B9F284A44}"/>
    <cellStyle name="Percent" xfId="2" builtinId="5"/>
  </cellStyles>
  <dxfs count="0"/>
  <tableStyles count="0" defaultTableStyle="TableStyleMedium2" defaultPivotStyle="PivotStyleLight16"/>
  <colors>
    <mruColors>
      <color rgb="FFFFF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25400</xdr:colOff>
      <xdr:row>50</xdr:row>
      <xdr:rowOff>165100</xdr:rowOff>
    </xdr:from>
    <xdr:to>
      <xdr:col>13</xdr:col>
      <xdr:colOff>635000</xdr:colOff>
      <xdr:row>57</xdr:row>
      <xdr:rowOff>158750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8E4EBB1-98E4-855A-2BC1-C5AF348197E5}"/>
            </a:ext>
          </a:extLst>
        </xdr:cNvPr>
        <xdr:cNvSpPr txBox="1"/>
      </xdr:nvSpPr>
      <xdr:spPr>
        <a:xfrm>
          <a:off x="10509250" y="8737600"/>
          <a:ext cx="1892300" cy="1327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sz="1000" kern="1200">
              <a:latin typeface="Tenorite" panose="00000500000000000000" pitchFamily="2" charset="0"/>
            </a:rPr>
            <a:t>This is a simpified approach to project FCF using a growth rate. Alternatively, FCF may be calculated using growth rate in PAT and assessing FCF for each period including</a:t>
          </a:r>
          <a:r>
            <a:rPr lang="en-IN" sz="1000" kern="1200" baseline="0">
              <a:latin typeface="Tenorite" panose="00000500000000000000" pitchFamily="2" charset="0"/>
            </a:rPr>
            <a:t> in Terminal period</a:t>
          </a:r>
          <a:r>
            <a:rPr lang="en-IN" sz="1000" kern="1200">
              <a:latin typeface="Tenorite" panose="00000500000000000000" pitchFamily="2" charset="0"/>
            </a:rPr>
            <a:t>.</a:t>
          </a:r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30D5C-D300-4462-BF58-D19E4C0EF5E3}">
  <dimension ref="B1:K73"/>
  <sheetViews>
    <sheetView showGridLines="0" tabSelected="1" zoomScaleNormal="100" workbookViewId="0">
      <selection activeCell="D1" sqref="D1"/>
    </sheetView>
  </sheetViews>
  <sheetFormatPr defaultColWidth="10.09765625" defaultRowHeight="11.5" x14ac:dyDescent="0.3"/>
  <cols>
    <col min="1" max="1" width="3.19921875" style="1" customWidth="1"/>
    <col min="2" max="2" width="43.5" style="2" bestFit="1" customWidth="1"/>
    <col min="3" max="11" width="12.69921875" style="1" customWidth="1"/>
    <col min="12" max="16384" width="10.09765625" style="1"/>
  </cols>
  <sheetData>
    <row r="1" spans="2:10" ht="17.5" customHeight="1" x14ac:dyDescent="0.3">
      <c r="B1" s="2" t="e" vm="1">
        <v>#VALUE!</v>
      </c>
    </row>
    <row r="2" spans="2:10" ht="12" x14ac:dyDescent="0.3">
      <c r="B2" t="s">
        <v>59</v>
      </c>
    </row>
    <row r="3" spans="2:10" x14ac:dyDescent="0.3">
      <c r="B3" s="1"/>
    </row>
    <row r="6" spans="2:10" ht="15" customHeight="1" x14ac:dyDescent="0.3">
      <c r="B6" s="3" t="s">
        <v>46</v>
      </c>
      <c r="F6" s="4"/>
    </row>
    <row r="7" spans="2:10" s="5" customFormat="1" ht="15" customHeight="1" x14ac:dyDescent="0.3">
      <c r="C7" s="6"/>
      <c r="D7" s="7"/>
      <c r="E7" s="7"/>
      <c r="F7" s="7"/>
      <c r="G7" s="7"/>
      <c r="H7" s="7"/>
      <c r="I7" s="7"/>
      <c r="J7" s="7"/>
    </row>
    <row r="8" spans="2:10" s="5" customFormat="1" ht="15" customHeight="1" x14ac:dyDescent="0.3">
      <c r="B8" s="8" t="s">
        <v>17</v>
      </c>
      <c r="C8" s="9">
        <v>45016</v>
      </c>
      <c r="D8" s="9">
        <v>45382</v>
      </c>
      <c r="E8" s="7"/>
      <c r="F8" s="7"/>
      <c r="G8" s="7"/>
      <c r="H8" s="7"/>
      <c r="I8" s="7"/>
      <c r="J8" s="7"/>
    </row>
    <row r="9" spans="2:10" s="5" customFormat="1" ht="15" customHeight="1" x14ac:dyDescent="0.3">
      <c r="B9" s="5" t="s">
        <v>36</v>
      </c>
      <c r="C9" s="10">
        <v>11000</v>
      </c>
      <c r="D9" s="10">
        <v>12000</v>
      </c>
      <c r="E9" s="11"/>
      <c r="F9" s="6"/>
      <c r="G9" s="6"/>
      <c r="H9" s="6"/>
      <c r="I9" s="6"/>
      <c r="J9" s="6"/>
    </row>
    <row r="10" spans="2:10" s="5" customFormat="1" ht="15" customHeight="1" x14ac:dyDescent="0.3">
      <c r="B10" s="5" t="s">
        <v>37</v>
      </c>
      <c r="C10" s="12">
        <v>2750</v>
      </c>
      <c r="D10" s="12">
        <v>3000</v>
      </c>
      <c r="E10" s="6"/>
      <c r="F10" s="6"/>
      <c r="G10" s="6"/>
      <c r="H10" s="6"/>
      <c r="I10" s="6"/>
      <c r="J10" s="6"/>
    </row>
    <row r="11" spans="2:10" s="5" customFormat="1" ht="15" customHeight="1" x14ac:dyDescent="0.3">
      <c r="B11" s="5" t="s">
        <v>38</v>
      </c>
      <c r="C11" s="13">
        <f>C9-C10</f>
        <v>8250</v>
      </c>
      <c r="D11" s="13">
        <f>D9-D10</f>
        <v>9000</v>
      </c>
      <c r="E11" s="6"/>
      <c r="F11" s="6"/>
      <c r="G11" s="6"/>
      <c r="H11" s="6"/>
      <c r="I11" s="6"/>
      <c r="J11" s="6"/>
    </row>
    <row r="12" spans="2:10" s="5" customFormat="1" ht="15" customHeight="1" x14ac:dyDescent="0.3">
      <c r="B12" s="5" t="s">
        <v>39</v>
      </c>
      <c r="C12" s="12">
        <v>1750</v>
      </c>
      <c r="D12" s="12">
        <v>1850</v>
      </c>
      <c r="E12" s="6"/>
      <c r="F12" s="6"/>
      <c r="G12" s="6"/>
      <c r="H12" s="6"/>
      <c r="I12" s="6"/>
      <c r="J12" s="6"/>
    </row>
    <row r="13" spans="2:10" s="5" customFormat="1" ht="15" customHeight="1" x14ac:dyDescent="0.3">
      <c r="B13" s="5" t="s">
        <v>40</v>
      </c>
      <c r="C13" s="13">
        <f>C11-C12</f>
        <v>6500</v>
      </c>
      <c r="D13" s="13">
        <f>D11-D12</f>
        <v>7150</v>
      </c>
      <c r="E13" s="6"/>
      <c r="F13" s="6"/>
      <c r="G13" s="6"/>
      <c r="H13" s="6"/>
      <c r="I13" s="6"/>
      <c r="J13" s="6"/>
    </row>
    <row r="14" spans="2:10" s="5" customFormat="1" ht="15" customHeight="1" x14ac:dyDescent="0.3">
      <c r="B14" s="5" t="s">
        <v>41</v>
      </c>
      <c r="C14" s="12">
        <v>1130</v>
      </c>
      <c r="D14" s="12">
        <v>1130</v>
      </c>
      <c r="E14" s="6"/>
      <c r="F14" s="6"/>
      <c r="G14" s="6"/>
      <c r="H14" s="6"/>
      <c r="I14" s="6"/>
      <c r="J14" s="6"/>
    </row>
    <row r="15" spans="2:10" s="5" customFormat="1" ht="15" customHeight="1" x14ac:dyDescent="0.3">
      <c r="B15" s="5" t="s">
        <v>42</v>
      </c>
      <c r="C15" s="13">
        <f>C13-C14</f>
        <v>5370</v>
      </c>
      <c r="D15" s="13">
        <f>D13-D14</f>
        <v>6020</v>
      </c>
      <c r="E15" s="6"/>
      <c r="F15" s="6"/>
      <c r="G15" s="6"/>
      <c r="H15" s="6"/>
      <c r="I15" s="6"/>
      <c r="J15" s="6"/>
    </row>
    <row r="16" spans="2:10" s="5" customFormat="1" ht="15" customHeight="1" x14ac:dyDescent="0.3">
      <c r="B16" s="5" t="s">
        <v>43</v>
      </c>
      <c r="C16" s="12">
        <f>C15*Taxrate</f>
        <v>1351.6289999999999</v>
      </c>
      <c r="D16" s="12">
        <f>D15*Taxrate</f>
        <v>1515.2339999999999</v>
      </c>
      <c r="E16" s="6"/>
      <c r="F16" s="6"/>
      <c r="G16" s="6"/>
      <c r="H16" s="6"/>
      <c r="I16" s="6"/>
      <c r="J16" s="6"/>
    </row>
    <row r="17" spans="2:11" s="5" customFormat="1" ht="15" customHeight="1" thickBot="1" x14ac:dyDescent="0.35">
      <c r="B17" s="5" t="s">
        <v>44</v>
      </c>
      <c r="C17" s="14">
        <f>C15-C16</f>
        <v>4018.3710000000001</v>
      </c>
      <c r="D17" s="14">
        <f>D15-D16</f>
        <v>4504.7659999999996</v>
      </c>
      <c r="E17" s="6"/>
      <c r="F17" s="6"/>
      <c r="G17" s="6"/>
      <c r="H17" s="6"/>
      <c r="I17" s="6"/>
      <c r="J17" s="6"/>
    </row>
    <row r="18" spans="2:11" s="5" customFormat="1" ht="15" customHeight="1" x14ac:dyDescent="0.3">
      <c r="C18" s="15"/>
      <c r="D18" s="15"/>
      <c r="E18" s="6"/>
      <c r="F18" s="6"/>
      <c r="G18" s="6"/>
      <c r="H18" s="6"/>
      <c r="I18" s="6"/>
      <c r="J18" s="6"/>
    </row>
    <row r="19" spans="2:11" s="5" customFormat="1" ht="15" customHeight="1" x14ac:dyDescent="0.3">
      <c r="B19" s="5" t="s">
        <v>31</v>
      </c>
      <c r="C19" s="10">
        <v>20000</v>
      </c>
      <c r="D19" s="10">
        <f>C19+3000-D12</f>
        <v>21150</v>
      </c>
      <c r="E19" s="11"/>
      <c r="F19" s="6"/>
      <c r="G19" s="6"/>
      <c r="H19" s="6"/>
      <c r="I19" s="6"/>
      <c r="J19" s="6"/>
    </row>
    <row r="20" spans="2:11" s="5" customFormat="1" ht="15" customHeight="1" x14ac:dyDescent="0.3">
      <c r="B20" s="5" t="s">
        <v>56</v>
      </c>
      <c r="C20" s="12">
        <v>5000</v>
      </c>
      <c r="D20" s="12">
        <v>5000</v>
      </c>
      <c r="E20" s="6"/>
      <c r="F20" s="6"/>
      <c r="G20" s="6"/>
      <c r="H20" s="6"/>
      <c r="I20" s="6"/>
      <c r="J20" s="6"/>
    </row>
    <row r="21" spans="2:11" s="5" customFormat="1" ht="15" customHeight="1" x14ac:dyDescent="0.3">
      <c r="B21" s="16" t="s">
        <v>32</v>
      </c>
      <c r="C21" s="13">
        <f>SUM(C19:C20)</f>
        <v>25000</v>
      </c>
      <c r="D21" s="13">
        <f>SUM(D19:D20)</f>
        <v>26150</v>
      </c>
      <c r="E21" s="6"/>
      <c r="F21" s="6"/>
      <c r="G21" s="6"/>
      <c r="H21" s="6"/>
      <c r="I21" s="6"/>
      <c r="J21" s="6"/>
    </row>
    <row r="22" spans="2:11" s="5" customFormat="1" ht="15" customHeight="1" x14ac:dyDescent="0.3">
      <c r="B22" s="5" t="s">
        <v>58</v>
      </c>
      <c r="C22" s="10">
        <f>C9*45%</f>
        <v>4950</v>
      </c>
      <c r="D22" s="10">
        <f>D9*45%</f>
        <v>5400</v>
      </c>
      <c r="E22" s="11"/>
      <c r="F22" s="6"/>
      <c r="G22" s="6"/>
      <c r="H22" s="6"/>
      <c r="I22" s="6"/>
      <c r="J22" s="6"/>
    </row>
    <row r="23" spans="2:11" s="5" customFormat="1" ht="15" customHeight="1" x14ac:dyDescent="0.3">
      <c r="B23" s="5" t="s">
        <v>57</v>
      </c>
      <c r="C23" s="10">
        <v>2000</v>
      </c>
      <c r="D23" s="10">
        <v>2000</v>
      </c>
      <c r="E23" s="6"/>
      <c r="F23" s="6"/>
      <c r="G23" s="6"/>
      <c r="H23" s="6"/>
      <c r="I23" s="6"/>
      <c r="J23" s="6"/>
    </row>
    <row r="24" spans="2:11" s="5" customFormat="1" ht="15" customHeight="1" x14ac:dyDescent="0.3">
      <c r="B24" s="16" t="s">
        <v>33</v>
      </c>
      <c r="C24" s="17">
        <f>SUM(C22:C23)</f>
        <v>6950</v>
      </c>
      <c r="D24" s="17">
        <f>SUM(D22:D23)</f>
        <v>7400</v>
      </c>
      <c r="E24" s="6"/>
      <c r="F24" s="6"/>
      <c r="G24" s="6"/>
      <c r="H24" s="6"/>
      <c r="I24" s="6"/>
      <c r="J24" s="6"/>
    </row>
    <row r="25" spans="2:11" s="5" customFormat="1" ht="15" customHeight="1" x14ac:dyDescent="0.3">
      <c r="B25" s="5" t="s">
        <v>55</v>
      </c>
      <c r="C25" s="10">
        <v>10000</v>
      </c>
      <c r="D25" s="10">
        <v>10000</v>
      </c>
      <c r="E25" s="6"/>
      <c r="F25" s="6"/>
      <c r="G25" s="6"/>
      <c r="H25" s="6"/>
      <c r="I25" s="6"/>
      <c r="J25" s="6"/>
    </row>
    <row r="26" spans="2:11" s="5" customFormat="1" ht="15" customHeight="1" thickBot="1" x14ac:dyDescent="0.35">
      <c r="B26" s="16" t="s">
        <v>34</v>
      </c>
      <c r="C26" s="14">
        <f>C21+C24-C25</f>
        <v>21950</v>
      </c>
      <c r="D26" s="14">
        <f>D21+D24-D25</f>
        <v>23550</v>
      </c>
      <c r="E26" s="11"/>
      <c r="F26" s="6"/>
      <c r="G26" s="6"/>
      <c r="H26" s="6"/>
      <c r="I26" s="6"/>
      <c r="J26" s="6"/>
    </row>
    <row r="27" spans="2:11" s="5" customFormat="1" ht="15" customHeight="1" x14ac:dyDescent="0.3">
      <c r="B27" s="16" t="s">
        <v>35</v>
      </c>
      <c r="C27" s="6"/>
      <c r="D27" s="18">
        <f>15000/10</f>
        <v>1500</v>
      </c>
      <c r="E27" s="6"/>
      <c r="F27" s="6"/>
      <c r="G27" s="6"/>
      <c r="H27" s="6"/>
      <c r="I27" s="6"/>
      <c r="J27" s="6"/>
    </row>
    <row r="28" spans="2:11" s="5" customFormat="1" ht="15" customHeight="1" x14ac:dyDescent="0.3">
      <c r="C28" s="6"/>
      <c r="D28" s="6"/>
      <c r="E28" s="6"/>
      <c r="F28" s="6"/>
      <c r="G28" s="6"/>
      <c r="H28" s="6"/>
      <c r="I28" s="6"/>
      <c r="J28" s="6"/>
    </row>
    <row r="29" spans="2:11" s="5" customFormat="1" ht="15" customHeight="1" x14ac:dyDescent="0.3">
      <c r="B29" s="8" t="s">
        <v>30</v>
      </c>
      <c r="C29" s="19"/>
      <c r="D29" s="19"/>
      <c r="E29" s="19"/>
      <c r="F29" s="19"/>
      <c r="G29" s="19"/>
      <c r="H29" s="19"/>
      <c r="I29" s="19"/>
      <c r="J29" s="19"/>
      <c r="K29" s="20"/>
    </row>
    <row r="30" spans="2:11" s="5" customFormat="1" ht="15" customHeight="1" x14ac:dyDescent="0.3">
      <c r="B30" s="5" t="s">
        <v>1</v>
      </c>
      <c r="C30" s="6"/>
      <c r="D30" s="21">
        <v>7.0000000000000007E-2</v>
      </c>
      <c r="E30" s="7"/>
      <c r="F30" s="7"/>
      <c r="G30" s="7"/>
      <c r="H30" s="7"/>
      <c r="I30" s="7"/>
      <c r="J30" s="7"/>
    </row>
    <row r="31" spans="2:11" s="5" customFormat="1" ht="15" customHeight="1" x14ac:dyDescent="0.3">
      <c r="B31" s="5" t="s">
        <v>2</v>
      </c>
      <c r="C31" s="6"/>
      <c r="D31" s="21">
        <v>0.14000000000000001</v>
      </c>
      <c r="E31" s="7"/>
      <c r="F31" s="7"/>
      <c r="G31" s="7"/>
      <c r="H31" s="22"/>
      <c r="I31" s="7"/>
      <c r="J31" s="7"/>
    </row>
    <row r="32" spans="2:11" s="5" customFormat="1" ht="15" customHeight="1" x14ac:dyDescent="0.3">
      <c r="B32" s="5" t="s">
        <v>3</v>
      </c>
      <c r="C32" s="6"/>
      <c r="D32" s="23">
        <f>D31-D30</f>
        <v>7.0000000000000007E-2</v>
      </c>
      <c r="E32" s="7"/>
      <c r="F32" s="7"/>
      <c r="G32" s="7"/>
      <c r="H32" s="7"/>
      <c r="I32" s="7"/>
      <c r="J32" s="7"/>
    </row>
    <row r="33" spans="2:10" s="5" customFormat="1" ht="15" customHeight="1" x14ac:dyDescent="0.3">
      <c r="B33" s="5" t="s">
        <v>4</v>
      </c>
      <c r="C33" s="6"/>
      <c r="D33" s="24">
        <v>1</v>
      </c>
      <c r="E33" s="7"/>
      <c r="F33" s="7"/>
      <c r="G33" s="7"/>
      <c r="H33" s="7"/>
      <c r="I33" s="7"/>
      <c r="J33" s="7"/>
    </row>
    <row r="34" spans="2:10" s="5" customFormat="1" ht="15" customHeight="1" x14ac:dyDescent="0.3">
      <c r="B34" s="5" t="s">
        <v>5</v>
      </c>
      <c r="C34" s="6"/>
      <c r="D34" s="21">
        <v>0.03</v>
      </c>
    </row>
    <row r="35" spans="2:10" s="5" customFormat="1" ht="15" customHeight="1" x14ac:dyDescent="0.3">
      <c r="B35" s="5" t="s">
        <v>6</v>
      </c>
      <c r="C35" s="6"/>
      <c r="D35" s="23">
        <f>D30+(D31-D30)*D33+D34</f>
        <v>0.17</v>
      </c>
    </row>
    <row r="36" spans="2:10" s="5" customFormat="1" ht="15" customHeight="1" x14ac:dyDescent="0.3">
      <c r="B36" s="5" t="s">
        <v>7</v>
      </c>
      <c r="C36" s="6" t="s">
        <v>8</v>
      </c>
      <c r="D36" s="21">
        <v>0.75</v>
      </c>
    </row>
    <row r="37" spans="2:10" s="5" customFormat="1" ht="15" customHeight="1" x14ac:dyDescent="0.3">
      <c r="C37" s="6"/>
      <c r="D37" s="6"/>
    </row>
    <row r="38" spans="2:10" s="5" customFormat="1" ht="15" customHeight="1" x14ac:dyDescent="0.3">
      <c r="B38" s="5" t="s">
        <v>1</v>
      </c>
      <c r="C38" s="6"/>
      <c r="D38" s="25">
        <f>D30</f>
        <v>7.0000000000000007E-2</v>
      </c>
    </row>
    <row r="39" spans="2:10" s="5" customFormat="1" ht="15" customHeight="1" x14ac:dyDescent="0.3">
      <c r="B39" s="5" t="s">
        <v>28</v>
      </c>
      <c r="C39" s="6"/>
      <c r="D39" s="26">
        <v>4.2999999999999997E-2</v>
      </c>
      <c r="E39" s="6"/>
      <c r="F39" s="7"/>
      <c r="G39" s="7"/>
      <c r="H39" s="7"/>
      <c r="I39" s="7"/>
      <c r="J39" s="7"/>
    </row>
    <row r="40" spans="2:10" s="5" customFormat="1" ht="15" customHeight="1" x14ac:dyDescent="0.3">
      <c r="B40" s="5" t="s">
        <v>9</v>
      </c>
      <c r="C40" s="6"/>
      <c r="D40" s="27">
        <f>SUM(D38:D39)</f>
        <v>0.113</v>
      </c>
      <c r="E40" s="7"/>
      <c r="F40" s="7"/>
      <c r="G40" s="7"/>
      <c r="H40" s="7"/>
      <c r="I40" s="7"/>
      <c r="J40" s="7"/>
    </row>
    <row r="41" spans="2:10" s="5" customFormat="1" ht="15" customHeight="1" x14ac:dyDescent="0.3">
      <c r="B41" s="5" t="s">
        <v>10</v>
      </c>
      <c r="C41" s="6"/>
      <c r="D41" s="21">
        <v>0.25169999999999998</v>
      </c>
      <c r="E41" s="7"/>
      <c r="F41" s="7"/>
      <c r="G41" s="7"/>
      <c r="H41" s="7"/>
      <c r="I41" s="7"/>
      <c r="J41" s="7"/>
    </row>
    <row r="42" spans="2:10" s="5" customFormat="1" ht="15" customHeight="1" x14ac:dyDescent="0.3">
      <c r="B42" s="5" t="s">
        <v>11</v>
      </c>
      <c r="C42" s="6"/>
      <c r="D42" s="28">
        <f>D40*(1-D41)</f>
        <v>8.4557900000000005E-2</v>
      </c>
      <c r="E42" s="7"/>
      <c r="F42" s="7"/>
      <c r="G42" s="7"/>
      <c r="H42" s="7"/>
      <c r="I42" s="7"/>
      <c r="J42" s="7"/>
    </row>
    <row r="43" spans="2:10" s="5" customFormat="1" ht="15" customHeight="1" x14ac:dyDescent="0.3">
      <c r="B43" s="5" t="s">
        <v>12</v>
      </c>
      <c r="C43" s="6" t="s">
        <v>8</v>
      </c>
      <c r="D43" s="28">
        <f>1-D36</f>
        <v>0.25</v>
      </c>
      <c r="E43" s="7"/>
      <c r="F43" s="7"/>
      <c r="G43" s="7"/>
      <c r="H43" s="7"/>
      <c r="I43" s="7"/>
      <c r="J43" s="7"/>
    </row>
    <row r="44" spans="2:10" s="5" customFormat="1" ht="15" customHeight="1" x14ac:dyDescent="0.3">
      <c r="B44" s="16" t="s">
        <v>13</v>
      </c>
      <c r="C44" s="6"/>
      <c r="D44" s="28">
        <f>(D35*D36)+(D42*D43)</f>
        <v>0.14863947499999999</v>
      </c>
      <c r="E44" s="7"/>
      <c r="F44" s="7"/>
      <c r="G44" s="7"/>
      <c r="H44" s="7"/>
      <c r="I44" s="7"/>
      <c r="J44" s="7"/>
    </row>
    <row r="45" spans="2:10" s="5" customFormat="1" ht="15" customHeight="1" x14ac:dyDescent="0.3">
      <c r="B45" s="16" t="s">
        <v>14</v>
      </c>
      <c r="C45" s="6"/>
      <c r="D45" s="21"/>
      <c r="E45" s="7"/>
      <c r="F45" s="7"/>
      <c r="G45" s="7"/>
      <c r="H45" s="7"/>
      <c r="I45" s="7"/>
      <c r="J45" s="7"/>
    </row>
    <row r="46" spans="2:10" s="5" customFormat="1" ht="15" customHeight="1" x14ac:dyDescent="0.3">
      <c r="B46" s="16" t="s">
        <v>15</v>
      </c>
      <c r="C46" s="6"/>
      <c r="D46" s="28">
        <f>WACC+D45</f>
        <v>0.14863947499999999</v>
      </c>
      <c r="E46" s="7"/>
      <c r="F46" s="7"/>
      <c r="G46" s="7"/>
      <c r="H46" s="7"/>
      <c r="I46" s="7"/>
      <c r="J46" s="7"/>
    </row>
    <row r="47" spans="2:10" s="5" customFormat="1" ht="15" customHeight="1" x14ac:dyDescent="0.3">
      <c r="B47" s="5" t="s">
        <v>60</v>
      </c>
      <c r="C47" s="6"/>
      <c r="D47" s="21">
        <v>4.5999999999999999E-2</v>
      </c>
      <c r="E47" s="7"/>
      <c r="F47" s="7"/>
      <c r="G47" s="7"/>
      <c r="H47" s="7"/>
      <c r="I47" s="7"/>
      <c r="J47" s="7"/>
    </row>
    <row r="48" spans="2:10" s="5" customFormat="1" ht="15" customHeight="1" x14ac:dyDescent="0.3">
      <c r="B48" s="5" t="s">
        <v>54</v>
      </c>
      <c r="C48" s="6"/>
      <c r="D48" s="65">
        <v>0.09</v>
      </c>
      <c r="E48" s="6"/>
      <c r="F48" s="6"/>
      <c r="G48" s="6"/>
      <c r="H48" s="6"/>
      <c r="I48" s="6"/>
      <c r="J48" s="6"/>
    </row>
    <row r="49" spans="2:11" s="5" customFormat="1" ht="15" customHeight="1" x14ac:dyDescent="0.3">
      <c r="C49" s="6"/>
      <c r="D49" s="6"/>
      <c r="E49" s="6"/>
      <c r="F49" s="6"/>
      <c r="G49" s="6"/>
      <c r="H49" s="6"/>
      <c r="I49" s="6"/>
      <c r="J49" s="6"/>
    </row>
    <row r="50" spans="2:11" s="29" customFormat="1" ht="15" customHeight="1" x14ac:dyDescent="0.3">
      <c r="B50" s="8" t="s">
        <v>17</v>
      </c>
      <c r="C50" s="9">
        <f>C8</f>
        <v>45016</v>
      </c>
      <c r="D50" s="9">
        <f>D8</f>
        <v>45382</v>
      </c>
      <c r="E50" s="9">
        <f>EOMONTH(D50,12)</f>
        <v>45747</v>
      </c>
      <c r="F50" s="9">
        <f t="shared" ref="F50:J50" si="0">EOMONTH(E50,12)</f>
        <v>46112</v>
      </c>
      <c r="G50" s="9">
        <f t="shared" si="0"/>
        <v>46477</v>
      </c>
      <c r="H50" s="9">
        <f t="shared" si="0"/>
        <v>46843</v>
      </c>
      <c r="I50" s="9">
        <f t="shared" si="0"/>
        <v>47208</v>
      </c>
      <c r="J50" s="9">
        <f t="shared" si="0"/>
        <v>47573</v>
      </c>
      <c r="K50" s="9" t="s">
        <v>16</v>
      </c>
    </row>
    <row r="51" spans="2:11" s="5" customFormat="1" ht="15" customHeight="1" x14ac:dyDescent="0.3">
      <c r="B51" s="5" t="s">
        <v>45</v>
      </c>
      <c r="C51" s="6"/>
      <c r="D51" s="30">
        <v>0</v>
      </c>
      <c r="E51" s="30">
        <f>YEARFRAC(D50,E50)/2</f>
        <v>0.5</v>
      </c>
      <c r="F51" s="30">
        <f>E51+1</f>
        <v>1.5</v>
      </c>
      <c r="G51" s="30">
        <f t="shared" ref="G51:J51" si="1">F51+1</f>
        <v>2.5</v>
      </c>
      <c r="H51" s="30">
        <f t="shared" si="1"/>
        <v>3.5</v>
      </c>
      <c r="I51" s="30">
        <f t="shared" si="1"/>
        <v>4.5</v>
      </c>
      <c r="J51" s="30">
        <f t="shared" si="1"/>
        <v>5.5</v>
      </c>
      <c r="K51" s="31">
        <f>J51</f>
        <v>5.5</v>
      </c>
    </row>
    <row r="52" spans="2:11" s="5" customFormat="1" ht="15" customHeight="1" x14ac:dyDescent="0.3">
      <c r="C52" s="6"/>
      <c r="D52" s="6"/>
      <c r="E52" s="6"/>
      <c r="F52" s="6"/>
      <c r="G52" s="6"/>
      <c r="H52" s="6"/>
      <c r="I52" s="6"/>
      <c r="J52" s="6"/>
      <c r="K52" s="6"/>
    </row>
    <row r="53" spans="2:11" s="5" customFormat="1" ht="15" customHeight="1" x14ac:dyDescent="0.3">
      <c r="B53" s="5" t="s">
        <v>29</v>
      </c>
      <c r="C53" s="6"/>
      <c r="D53" s="32">
        <f>D17</f>
        <v>4504.7659999999996</v>
      </c>
      <c r="E53" s="33"/>
      <c r="F53" s="33"/>
      <c r="G53" s="33"/>
      <c r="H53" s="33"/>
      <c r="I53" s="33"/>
      <c r="J53" s="33"/>
      <c r="K53" s="34"/>
    </row>
    <row r="54" spans="2:11" s="5" customFormat="1" ht="15" customHeight="1" x14ac:dyDescent="0.3">
      <c r="B54" s="5" t="s">
        <v>47</v>
      </c>
      <c r="C54" s="6"/>
      <c r="D54" s="32">
        <f>D12</f>
        <v>1850</v>
      </c>
      <c r="E54" s="33"/>
      <c r="F54" s="33"/>
      <c r="G54" s="33"/>
      <c r="H54" s="33"/>
      <c r="I54" s="33"/>
      <c r="J54" s="33"/>
      <c r="K54" s="33"/>
    </row>
    <row r="55" spans="2:11" s="5" customFormat="1" ht="15" customHeight="1" x14ac:dyDescent="0.3">
      <c r="B55" s="5" t="s">
        <v>48</v>
      </c>
      <c r="C55" s="6"/>
      <c r="D55" s="32">
        <f>D14*(1-Taxrate)</f>
        <v>845.57899999999995</v>
      </c>
      <c r="E55" s="33"/>
      <c r="F55" s="33"/>
      <c r="G55" s="33"/>
      <c r="H55" s="33"/>
      <c r="I55" s="33"/>
      <c r="J55" s="33"/>
      <c r="K55" s="33"/>
    </row>
    <row r="56" spans="2:11" s="5" customFormat="1" ht="15" customHeight="1" x14ac:dyDescent="0.3">
      <c r="B56" s="5" t="s">
        <v>49</v>
      </c>
      <c r="C56" s="6"/>
      <c r="D56" s="32">
        <f>(D19-C19)+D12</f>
        <v>3000</v>
      </c>
      <c r="E56" s="33"/>
      <c r="F56" s="33"/>
      <c r="G56" s="33"/>
      <c r="H56" s="33"/>
      <c r="I56" s="33"/>
      <c r="J56" s="33"/>
      <c r="K56" s="34"/>
    </row>
    <row r="57" spans="2:11" s="5" customFormat="1" ht="15" customHeight="1" x14ac:dyDescent="0.3">
      <c r="B57" s="5" t="s">
        <v>50</v>
      </c>
      <c r="C57" s="6"/>
      <c r="D57" s="32">
        <f>(D22-C22)</f>
        <v>450</v>
      </c>
      <c r="E57" s="33"/>
      <c r="F57" s="33"/>
      <c r="G57" s="33"/>
      <c r="H57" s="33"/>
      <c r="I57" s="33"/>
      <c r="J57" s="33"/>
      <c r="K57" s="35"/>
    </row>
    <row r="58" spans="2:11" s="5" customFormat="1" ht="15" customHeight="1" x14ac:dyDescent="0.3">
      <c r="B58" s="16" t="s">
        <v>18</v>
      </c>
      <c r="C58" s="6"/>
      <c r="D58" s="36">
        <f>D53+D54+D55-D56-D57</f>
        <v>3750.3449999999993</v>
      </c>
      <c r="E58" s="36">
        <f>D58*(1+$D$48)</f>
        <v>4087.8760499999994</v>
      </c>
      <c r="F58" s="36">
        <f t="shared" ref="F58:J58" si="2">E58*(1+$D$48)</f>
        <v>4455.7848944999996</v>
      </c>
      <c r="G58" s="36">
        <f t="shared" si="2"/>
        <v>4856.8055350049999</v>
      </c>
      <c r="H58" s="36">
        <f t="shared" si="2"/>
        <v>5293.9180331554498</v>
      </c>
      <c r="I58" s="36">
        <f t="shared" si="2"/>
        <v>5770.3706561394411</v>
      </c>
      <c r="J58" s="36">
        <f t="shared" si="2"/>
        <v>6289.7040151919909</v>
      </c>
      <c r="K58" s="36">
        <f>J58*(1+$D$47)</f>
        <v>6579.030399890823</v>
      </c>
    </row>
    <row r="59" spans="2:11" s="5" customFormat="1" ht="15" customHeight="1" x14ac:dyDescent="0.3">
      <c r="B59" s="5" t="s">
        <v>19</v>
      </c>
      <c r="C59" s="6"/>
      <c r="D59" s="37"/>
      <c r="E59" s="37"/>
      <c r="F59" s="37"/>
      <c r="G59" s="37"/>
      <c r="H59" s="37"/>
      <c r="I59" s="37"/>
      <c r="J59" s="37"/>
      <c r="K59" s="38">
        <f>K58/(D44-D47)</f>
        <v>64098.441656008312</v>
      </c>
    </row>
    <row r="60" spans="2:11" s="5" customFormat="1" ht="15" customHeight="1" x14ac:dyDescent="0.3">
      <c r="B60" s="5" t="s">
        <v>20</v>
      </c>
      <c r="C60" s="6"/>
      <c r="D60" s="39"/>
      <c r="E60" s="36">
        <f t="shared" ref="E60:J60" si="3">E58/(1+DiscRate)^E51</f>
        <v>3814.2209759130856</v>
      </c>
      <c r="F60" s="36">
        <f t="shared" si="3"/>
        <v>3619.5002472340279</v>
      </c>
      <c r="G60" s="36">
        <f t="shared" si="3"/>
        <v>3434.7202541381321</v>
      </c>
      <c r="H60" s="36">
        <f t="shared" si="3"/>
        <v>3259.373509699868</v>
      </c>
      <c r="I60" s="36">
        <f t="shared" si="3"/>
        <v>3092.9784348329631</v>
      </c>
      <c r="J60" s="36">
        <f t="shared" si="3"/>
        <v>2935.0780356629571</v>
      </c>
      <c r="K60" s="36">
        <f>K59/(1+DiscRate)^K51</f>
        <v>29911.412010860866</v>
      </c>
    </row>
    <row r="61" spans="2:11" s="5" customFormat="1" ht="15" customHeight="1" x14ac:dyDescent="0.3">
      <c r="B61" s="5" t="s">
        <v>21</v>
      </c>
      <c r="C61" s="15"/>
      <c r="D61" s="40">
        <f>SUM(E60:K60)</f>
        <v>50067.283468341899</v>
      </c>
      <c r="E61" s="37"/>
      <c r="F61" s="41"/>
      <c r="G61" s="4"/>
      <c r="H61" s="4"/>
      <c r="I61" s="4"/>
      <c r="J61" s="4"/>
      <c r="K61" s="41"/>
    </row>
    <row r="62" spans="2:11" s="5" customFormat="1" ht="15" customHeight="1" x14ac:dyDescent="0.3">
      <c r="B62" s="5" t="s">
        <v>51</v>
      </c>
      <c r="C62" s="15"/>
      <c r="D62" s="40">
        <f>D25</f>
        <v>10000</v>
      </c>
      <c r="E62" s="37"/>
      <c r="F62" s="41"/>
      <c r="G62" s="4"/>
      <c r="H62" s="4"/>
      <c r="I62" s="4"/>
      <c r="J62" s="4"/>
      <c r="K62" s="41"/>
    </row>
    <row r="63" spans="2:11" s="5" customFormat="1" ht="15" customHeight="1" x14ac:dyDescent="0.3">
      <c r="B63" s="5" t="s">
        <v>52</v>
      </c>
      <c r="C63" s="15"/>
      <c r="D63" s="40">
        <f>D23</f>
        <v>2000</v>
      </c>
      <c r="E63" s="37"/>
      <c r="F63" s="41"/>
      <c r="G63" s="4"/>
      <c r="H63" s="4"/>
      <c r="I63" s="4"/>
      <c r="J63" s="4"/>
      <c r="K63" s="41"/>
    </row>
    <row r="64" spans="2:11" s="5" customFormat="1" ht="15" customHeight="1" x14ac:dyDescent="0.3">
      <c r="B64" s="5" t="s">
        <v>53</v>
      </c>
      <c r="C64" s="15"/>
      <c r="D64" s="40">
        <f>D20</f>
        <v>5000</v>
      </c>
      <c r="E64" s="37"/>
      <c r="F64" s="41"/>
      <c r="G64" s="4"/>
      <c r="H64" s="4"/>
      <c r="I64" s="4"/>
      <c r="J64" s="4"/>
      <c r="K64" s="41"/>
    </row>
    <row r="65" spans="2:11" s="5" customFormat="1" ht="15" customHeight="1" thickBot="1" x14ac:dyDescent="0.35">
      <c r="B65" s="16" t="s">
        <v>22</v>
      </c>
      <c r="C65" s="42"/>
      <c r="D65" s="43">
        <f>D61-D62+D63+D64</f>
        <v>47067.283468341899</v>
      </c>
      <c r="E65" s="41"/>
      <c r="F65" s="41"/>
      <c r="G65" s="41"/>
      <c r="H65" s="41"/>
      <c r="I65" s="41"/>
      <c r="J65" s="41"/>
      <c r="K65" s="41"/>
    </row>
    <row r="66" spans="2:11" s="5" customFormat="1" ht="15" customHeight="1" x14ac:dyDescent="0.3">
      <c r="B66" s="5" t="s">
        <v>0</v>
      </c>
      <c r="C66" s="42"/>
      <c r="D66" s="17">
        <f>D27</f>
        <v>1500</v>
      </c>
      <c r="E66" s="44"/>
      <c r="G66" s="41"/>
      <c r="H66" s="41"/>
      <c r="I66" s="41"/>
      <c r="J66" s="41"/>
    </row>
    <row r="67" spans="2:11" ht="15" customHeight="1" x14ac:dyDescent="0.3">
      <c r="B67" s="45" t="s">
        <v>23</v>
      </c>
      <c r="C67" s="46"/>
      <c r="D67" s="47">
        <f>D65/D66</f>
        <v>31.378188978894599</v>
      </c>
      <c r="E67" s="48"/>
      <c r="G67" s="49"/>
      <c r="H67" s="49"/>
      <c r="I67" s="49"/>
      <c r="J67" s="49"/>
    </row>
    <row r="68" spans="2:11" s="50" customFormat="1" ht="15" customHeight="1" x14ac:dyDescent="0.3">
      <c r="B68" s="51"/>
      <c r="C68" s="52"/>
      <c r="D68" s="53"/>
      <c r="E68" s="54"/>
      <c r="G68" s="55"/>
      <c r="H68" s="55"/>
      <c r="I68" s="55"/>
      <c r="J68" s="55"/>
    </row>
    <row r="69" spans="2:11" s="50" customFormat="1" ht="15" customHeight="1" x14ac:dyDescent="0.3">
      <c r="B69" s="56" t="s">
        <v>24</v>
      </c>
      <c r="C69" s="57"/>
      <c r="D69" s="58">
        <f>D26/D27</f>
        <v>15.7</v>
      </c>
      <c r="E69" s="54"/>
      <c r="F69" s="55"/>
      <c r="G69" s="55"/>
      <c r="H69" s="55"/>
      <c r="I69" s="55"/>
      <c r="J69" s="55"/>
    </row>
    <row r="70" spans="2:11" s="50" customFormat="1" ht="15" customHeight="1" x14ac:dyDescent="0.3">
      <c r="B70" s="59" t="s">
        <v>25</v>
      </c>
      <c r="C70" s="53"/>
      <c r="D70" s="60">
        <f>D65/D26</f>
        <v>1.9986107629869172</v>
      </c>
      <c r="E70" s="54"/>
      <c r="F70" s="55"/>
      <c r="G70" s="55"/>
      <c r="H70" s="55"/>
      <c r="I70" s="55"/>
      <c r="J70" s="55"/>
    </row>
    <row r="71" spans="2:11" s="50" customFormat="1" ht="15" customHeight="1" x14ac:dyDescent="0.3">
      <c r="B71" s="59" t="s">
        <v>26</v>
      </c>
      <c r="C71" s="53"/>
      <c r="D71" s="60">
        <f>D65/D9</f>
        <v>3.9222736223618249</v>
      </c>
      <c r="E71" s="54"/>
      <c r="F71" s="55"/>
      <c r="G71" s="55"/>
      <c r="H71" s="55"/>
      <c r="I71" s="55"/>
      <c r="J71" s="55"/>
    </row>
    <row r="72" spans="2:11" s="50" customFormat="1" ht="15" customHeight="1" x14ac:dyDescent="0.3">
      <c r="B72" s="61" t="s">
        <v>27</v>
      </c>
      <c r="C72" s="62"/>
      <c r="D72" s="63">
        <f>D65/D17</f>
        <v>10.448330383496479</v>
      </c>
      <c r="E72" s="54"/>
      <c r="F72" s="55"/>
      <c r="G72" s="55"/>
      <c r="H72" s="55"/>
      <c r="I72" s="55"/>
      <c r="J72" s="55"/>
    </row>
    <row r="73" spans="2:11" ht="15" customHeight="1" x14ac:dyDescent="0.3">
      <c r="B73" s="64"/>
      <c r="C73" s="42"/>
      <c r="D73" s="49"/>
      <c r="E73" s="48"/>
      <c r="F73" s="49"/>
      <c r="G73" s="49"/>
      <c r="H73" s="49"/>
      <c r="I73" s="49"/>
      <c r="J73" s="49"/>
    </row>
  </sheetData>
  <pageMargins left="0.70866141732283472" right="0.70866141732283472" top="0.74803149606299213" bottom="0.74803149606299213" header="0.31496062992125984" footer="0.31496062992125984"/>
  <pageSetup orientation="portrait" r:id="rId1"/>
  <headerFooter>
    <oddHeader>&amp;R(C) Omnifin Valuation Services | For Academic and Learning Purposes only.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Sheet1</vt:lpstr>
      <vt:lpstr>DiscRate</vt:lpstr>
      <vt:lpstr>Ke</vt:lpstr>
      <vt:lpstr>Taxrate</vt:lpstr>
      <vt:lpstr>WACC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Vikash Goel</dc:creator>
  <cp:lastModifiedBy>Vikash Goel</cp:lastModifiedBy>
  <cp:lastPrinted>2024-12-25T18:09:17Z</cp:lastPrinted>
  <dcterms:created xsi:type="dcterms:W3CDTF">2024-12-22T13:49:21Z</dcterms:created>
  <dcterms:modified xsi:type="dcterms:W3CDTF">2024-12-25T18:11:40Z</dcterms:modified>
</cp:coreProperties>
</file>